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udget Team Drive\_URPC\2022-23\211112\"/>
    </mc:Choice>
  </mc:AlternateContent>
  <xr:revisionPtr revIDLastSave="0" documentId="13_ncr:1_{3E7200D2-5FF7-44E8-AFFA-E79B0E5ED945}" xr6:coauthVersionLast="36" xr6:coauthVersionMax="36" xr10:uidLastSave="{00000000-0000-0000-0000-000000000000}"/>
  <bookViews>
    <workbookView xWindow="4950" yWindow="0" windowWidth="27870" windowHeight="12510" xr2:uid="{7F56DCE4-F84D-4EE9-95CC-FBA7FB8FD4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3" i="1"/>
  <c r="P22" i="1"/>
  <c r="M22" i="1"/>
  <c r="M23" i="1"/>
  <c r="J22" i="1"/>
  <c r="J23" i="1"/>
  <c r="G22" i="1"/>
  <c r="G23" i="1"/>
  <c r="D22" i="1"/>
  <c r="D23" i="1"/>
  <c r="J18" i="1" l="1"/>
  <c r="J19" i="1"/>
  <c r="J20" i="1"/>
  <c r="J21" i="1"/>
  <c r="J17" i="1"/>
  <c r="C21" i="1"/>
  <c r="C20" i="1"/>
  <c r="C19" i="1"/>
  <c r="C18" i="1"/>
  <c r="C17" i="1"/>
  <c r="P23" i="1"/>
  <c r="O20" i="1"/>
  <c r="M18" i="1"/>
  <c r="M19" i="1"/>
  <c r="M20" i="1"/>
  <c r="M21" i="1"/>
  <c r="M17" i="1"/>
  <c r="L18" i="1"/>
  <c r="L19" i="1"/>
  <c r="L20" i="1"/>
  <c r="L21" i="1"/>
  <c r="L17" i="1"/>
  <c r="I18" i="1"/>
  <c r="I19" i="1"/>
  <c r="I20" i="1"/>
  <c r="I21" i="1"/>
  <c r="I17" i="1"/>
  <c r="F21" i="1"/>
  <c r="F17" i="1"/>
  <c r="F6" i="1"/>
  <c r="F7" i="1"/>
  <c r="F8" i="1"/>
  <c r="D20" i="1" s="1"/>
  <c r="F9" i="1"/>
  <c r="O21" i="1" s="1"/>
  <c r="F5" i="1"/>
  <c r="O17" i="1" s="1"/>
  <c r="E11" i="1"/>
  <c r="D10" i="1"/>
  <c r="C10" i="1"/>
  <c r="C11" i="1" s="1"/>
  <c r="G17" i="1" l="1"/>
  <c r="L23" i="1"/>
  <c r="D17" i="1"/>
  <c r="D19" i="1"/>
  <c r="C23" i="1"/>
  <c r="D18" i="1"/>
  <c r="F10" i="1"/>
  <c r="I23" i="1"/>
  <c r="G20" i="1"/>
  <c r="O19" i="1"/>
  <c r="F20" i="1"/>
  <c r="O18" i="1"/>
  <c r="G19" i="1"/>
  <c r="D21" i="1"/>
  <c r="F19" i="1"/>
  <c r="G18" i="1"/>
  <c r="F18" i="1"/>
  <c r="G21" i="1"/>
  <c r="D11" i="1"/>
  <c r="F11" i="1" s="1"/>
  <c r="I25" i="1" l="1"/>
  <c r="L25" i="1"/>
  <c r="J25" i="1"/>
  <c r="D25" i="1"/>
  <c r="M24" i="1"/>
  <c r="C25" i="1"/>
  <c r="J24" i="1"/>
  <c r="M25" i="1"/>
  <c r="D24" i="1"/>
  <c r="F23" i="1"/>
  <c r="F25" i="1" s="1"/>
  <c r="G24" i="1" l="1"/>
  <c r="G25" i="1"/>
</calcChain>
</file>

<file path=xl/sharedStrings.xml><?xml version="1.0" encoding="utf-8"?>
<sst xmlns="http://schemas.openxmlformats.org/spreadsheetml/2006/main" count="42" uniqueCount="25">
  <si>
    <t>Salary</t>
  </si>
  <si>
    <t>Benefits</t>
  </si>
  <si>
    <t>OE</t>
  </si>
  <si>
    <t>ADMINISTRATIVE AFFAIRS</t>
  </si>
  <si>
    <t>PRESIDENT</t>
  </si>
  <si>
    <t>STUDENT AFFAIRS</t>
  </si>
  <si>
    <t>UNIVERSITY ADVANCEMENT</t>
  </si>
  <si>
    <t>UNIVERSITY WIDE</t>
  </si>
  <si>
    <t>Total</t>
  </si>
  <si>
    <t>Division</t>
  </si>
  <si>
    <t>Current RF Guidelines</t>
  </si>
  <si>
    <t>Option 4 - Increase Contingency; 100% of All Savings Back to Divisions</t>
  </si>
  <si>
    <t>ACADEMIC AFFAIRS</t>
  </si>
  <si>
    <t>Division $</t>
  </si>
  <si>
    <t>Univ-Wide $</t>
  </si>
  <si>
    <t>Rollforward Guidelines Options</t>
  </si>
  <si>
    <t>*</t>
  </si>
  <si>
    <t>% of Total</t>
  </si>
  <si>
    <t>% Allocation</t>
  </si>
  <si>
    <t>Option 1 - % of Total Savings To Divisions</t>
  </si>
  <si>
    <t>Option 2 - % of Salaries and OE Savings to Divisions</t>
  </si>
  <si>
    <t>Option 3 - 100% of OE Savings to Divisions</t>
  </si>
  <si>
    <t>Rollforward Options Examples</t>
  </si>
  <si>
    <r>
      <t xml:space="preserve">*Increase </t>
    </r>
    <r>
      <rPr>
        <i/>
        <u/>
        <sz val="10"/>
        <color theme="1"/>
        <rFont val="Arial"/>
        <family val="2"/>
      </rPr>
      <t>Base (ongoing) Budget</t>
    </r>
    <r>
      <rPr>
        <i/>
        <sz val="10"/>
        <color theme="1"/>
        <rFont val="Arial"/>
        <family val="2"/>
      </rPr>
      <t xml:space="preserve"> Contingency (currently $800k)</t>
    </r>
  </si>
  <si>
    <t>2018-19 Unrestricted Rollforward (RF) Balances (One-Time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</si>
</sst>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43" fontId="2" fillId="0" borderId="0" xfId="1" applyFont="1"/>
    <xf numFmtId="0" fontId="3" fillId="0" borderId="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1" applyNumberFormat="1" applyFont="1" applyBorder="1"/>
    <xf numFmtId="43" fontId="2" fillId="0" borderId="0" xfId="0" applyNumberFormat="1" applyFont="1"/>
    <xf numFmtId="43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4" fontId="2" fillId="0" borderId="4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9" fontId="2" fillId="0" borderId="5" xfId="2" applyFont="1" applyBorder="1"/>
    <xf numFmtId="0" fontId="5" fillId="0" borderId="0" xfId="0" applyFont="1" applyAlignment="1"/>
    <xf numFmtId="43" fontId="2" fillId="0" borderId="0" xfId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9" fontId="5" fillId="0" borderId="0" xfId="2" applyFont="1"/>
    <xf numFmtId="0" fontId="4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7" fillId="2" borderId="2" xfId="0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center" wrapText="1"/>
    </xf>
    <xf numFmtId="164" fontId="3" fillId="2" borderId="7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F846-DB1A-4124-96FF-8168B9C1A788}">
  <dimension ref="A1:X33"/>
  <sheetViews>
    <sheetView tabSelected="1" zoomScale="130" zoomScaleNormal="130" workbookViewId="0">
      <selection activeCell="G6" sqref="G6"/>
    </sheetView>
  </sheetViews>
  <sheetFormatPr defaultRowHeight="12.75" x14ac:dyDescent="0.2"/>
  <cols>
    <col min="1" max="1" width="1.85546875" style="1" customWidth="1"/>
    <col min="2" max="2" width="27.140625" style="1" bestFit="1" customWidth="1"/>
    <col min="3" max="3" width="11.85546875" style="1" customWidth="1"/>
    <col min="4" max="4" width="11.85546875" style="1" bestFit="1" customWidth="1"/>
    <col min="5" max="5" width="12" style="1" bestFit="1" customWidth="1"/>
    <col min="6" max="6" width="11.5703125" style="1" customWidth="1"/>
    <col min="7" max="7" width="11.85546875" style="1" bestFit="1" customWidth="1"/>
    <col min="8" max="8" width="3.140625" style="1" customWidth="1"/>
    <col min="9" max="9" width="12.42578125" style="1" customWidth="1"/>
    <col min="10" max="10" width="13.7109375" style="1" customWidth="1"/>
    <col min="11" max="11" width="3.140625" style="1" bestFit="1" customWidth="1"/>
    <col min="12" max="12" width="11.140625" style="1" customWidth="1"/>
    <col min="13" max="13" width="11.85546875" style="1" bestFit="1" customWidth="1"/>
    <col min="14" max="14" width="3.28515625" style="1" customWidth="1"/>
    <col min="15" max="15" width="17.5703125" style="1" customWidth="1"/>
    <col min="16" max="16" width="18" style="1" customWidth="1"/>
    <col min="17" max="17" width="1.7109375" style="1" bestFit="1" customWidth="1"/>
    <col min="18" max="18" width="9.140625" style="1"/>
    <col min="19" max="19" width="13" style="4" bestFit="1" customWidth="1"/>
    <col min="20" max="20" width="10.28515625" style="4" bestFit="1" customWidth="1"/>
    <col min="21" max="22" width="11.28515625" style="4" bestFit="1" customWidth="1"/>
    <col min="23" max="23" width="10.28515625" style="4" bestFit="1" customWidth="1"/>
    <col min="24" max="24" width="11.28515625" style="4" bestFit="1" customWidth="1"/>
    <col min="25" max="16384" width="9.140625" style="1"/>
  </cols>
  <sheetData>
    <row r="1" spans="1:24" ht="18" x14ac:dyDescent="0.25">
      <c r="A1" s="26" t="s">
        <v>22</v>
      </c>
      <c r="E1" s="4"/>
      <c r="F1" s="2"/>
      <c r="G1" s="2"/>
      <c r="H1" s="2"/>
      <c r="I1" s="2"/>
      <c r="J1" s="2"/>
      <c r="K1" s="2"/>
    </row>
    <row r="2" spans="1:24" x14ac:dyDescent="0.2">
      <c r="E2" s="4"/>
      <c r="F2" s="2"/>
      <c r="G2" s="2"/>
      <c r="H2" s="2"/>
      <c r="I2" s="2"/>
      <c r="J2" s="2"/>
      <c r="K2" s="2"/>
    </row>
    <row r="3" spans="1:24" ht="15.75" x14ac:dyDescent="0.25">
      <c r="B3" s="35" t="s">
        <v>24</v>
      </c>
      <c r="C3" s="35"/>
      <c r="D3" s="35"/>
      <c r="E3" s="35"/>
      <c r="F3" s="35"/>
      <c r="G3" s="2"/>
      <c r="H3" s="2"/>
      <c r="I3" s="2"/>
      <c r="J3" s="2"/>
      <c r="K3" s="2"/>
    </row>
    <row r="4" spans="1:24" x14ac:dyDescent="0.2">
      <c r="B4" s="5" t="s">
        <v>9</v>
      </c>
      <c r="C4" s="5" t="s">
        <v>0</v>
      </c>
      <c r="D4" s="5" t="s">
        <v>1</v>
      </c>
      <c r="E4" s="5" t="s">
        <v>2</v>
      </c>
      <c r="F4" s="6" t="s">
        <v>8</v>
      </c>
      <c r="G4" s="2"/>
      <c r="H4" s="2"/>
      <c r="I4" s="2"/>
      <c r="J4" s="2"/>
      <c r="K4" s="2"/>
    </row>
    <row r="5" spans="1:24" x14ac:dyDescent="0.2">
      <c r="B5" s="19" t="s">
        <v>12</v>
      </c>
      <c r="C5" s="2">
        <v>632583.76</v>
      </c>
      <c r="D5" s="2">
        <v>1061146.8300000003</v>
      </c>
      <c r="E5" s="2">
        <v>1150566.57</v>
      </c>
      <c r="F5" s="2">
        <f>SUM(C5:E5)</f>
        <v>2844297.16</v>
      </c>
      <c r="G5" s="2"/>
      <c r="H5" s="2"/>
      <c r="I5" s="2"/>
      <c r="J5" s="10"/>
      <c r="K5" s="10"/>
      <c r="L5" s="10"/>
    </row>
    <row r="6" spans="1:24" x14ac:dyDescent="0.2">
      <c r="B6" s="19" t="s">
        <v>3</v>
      </c>
      <c r="C6" s="2">
        <v>705552.43999999983</v>
      </c>
      <c r="D6" s="2">
        <v>718130.82000000007</v>
      </c>
      <c r="E6" s="2">
        <v>233650.12999999998</v>
      </c>
      <c r="F6" s="2">
        <f t="shared" ref="F6:F11" si="0">SUM(C6:E6)</f>
        <v>1657333.3899999997</v>
      </c>
      <c r="G6" s="2"/>
      <c r="H6" s="2"/>
      <c r="I6" s="2"/>
      <c r="J6" s="2"/>
      <c r="K6" s="2"/>
      <c r="L6" s="4"/>
    </row>
    <row r="7" spans="1:24" x14ac:dyDescent="0.2">
      <c r="B7" s="19" t="s">
        <v>4</v>
      </c>
      <c r="C7" s="2">
        <v>144732.25</v>
      </c>
      <c r="D7" s="2">
        <v>78850</v>
      </c>
      <c r="E7" s="2">
        <v>58026.450000000012</v>
      </c>
      <c r="F7" s="2">
        <f t="shared" si="0"/>
        <v>281608.7</v>
      </c>
      <c r="G7" s="2"/>
      <c r="H7" s="2"/>
      <c r="I7" s="2"/>
      <c r="J7" s="2"/>
      <c r="K7" s="2"/>
      <c r="L7" s="4"/>
    </row>
    <row r="8" spans="1:24" x14ac:dyDescent="0.2">
      <c r="B8" s="19" t="s">
        <v>5</v>
      </c>
      <c r="C8" s="2">
        <v>79579.950000000012</v>
      </c>
      <c r="D8" s="2">
        <v>133509.71</v>
      </c>
      <c r="E8" s="2">
        <v>97859.66</v>
      </c>
      <c r="F8" s="2">
        <f t="shared" si="0"/>
        <v>310949.32</v>
      </c>
      <c r="G8" s="2"/>
      <c r="H8" s="2"/>
      <c r="I8" s="11"/>
      <c r="J8" s="2"/>
      <c r="K8" s="2"/>
    </row>
    <row r="9" spans="1:24" x14ac:dyDescent="0.2">
      <c r="B9" s="19" t="s">
        <v>6</v>
      </c>
      <c r="C9" s="2">
        <v>182479.82</v>
      </c>
      <c r="D9" s="2">
        <v>83702.41</v>
      </c>
      <c r="E9" s="2">
        <v>105294.17000000006</v>
      </c>
      <c r="F9" s="2">
        <f t="shared" si="0"/>
        <v>371476.4</v>
      </c>
      <c r="G9" s="2"/>
      <c r="H9" s="2"/>
      <c r="I9" s="2"/>
      <c r="J9" s="2"/>
      <c r="K9" s="2"/>
    </row>
    <row r="10" spans="1:24" ht="12.75" customHeight="1" x14ac:dyDescent="0.2">
      <c r="B10" s="19" t="s">
        <v>7</v>
      </c>
      <c r="C10" s="2">
        <f>58145-58145</f>
        <v>0</v>
      </c>
      <c r="D10" s="2">
        <f>139316.53-139316.53</f>
        <v>0</v>
      </c>
      <c r="E10" s="2">
        <v>239001</v>
      </c>
      <c r="F10" s="2">
        <f t="shared" si="0"/>
        <v>239001</v>
      </c>
      <c r="G10" s="2"/>
      <c r="H10" s="11"/>
      <c r="I10" s="11"/>
      <c r="J10" s="11"/>
      <c r="K10" s="11"/>
      <c r="L10" s="11"/>
      <c r="M10" s="11"/>
      <c r="N10" s="11"/>
      <c r="O10" s="11"/>
      <c r="P10" s="11"/>
    </row>
    <row r="11" spans="1:24" x14ac:dyDescent="0.2">
      <c r="B11" s="19" t="s">
        <v>8</v>
      </c>
      <c r="C11" s="7">
        <f>SUM(C5:C10)</f>
        <v>1744928.2199999997</v>
      </c>
      <c r="D11" s="7">
        <f t="shared" ref="D11:E11" si="1">SUM(D5:D10)</f>
        <v>2075339.7700000003</v>
      </c>
      <c r="E11" s="7">
        <f t="shared" si="1"/>
        <v>1884397.98</v>
      </c>
      <c r="F11" s="8">
        <f t="shared" si="0"/>
        <v>5704665.9700000007</v>
      </c>
      <c r="G11" s="2"/>
      <c r="H11" s="11"/>
      <c r="I11" s="11"/>
      <c r="J11" s="11"/>
      <c r="K11" s="11"/>
      <c r="L11" s="11"/>
      <c r="M11" s="11"/>
      <c r="N11" s="11"/>
      <c r="O11" s="11"/>
      <c r="P11" s="11"/>
    </row>
    <row r="12" spans="1:24" x14ac:dyDescent="0.2">
      <c r="B12" s="15"/>
      <c r="F12" s="2"/>
      <c r="G12" s="2"/>
      <c r="H12" s="2"/>
      <c r="I12" s="2"/>
      <c r="J12" s="2"/>
      <c r="K12" s="2"/>
    </row>
    <row r="13" spans="1:24" ht="18" x14ac:dyDescent="0.25">
      <c r="B13" s="15"/>
      <c r="F13" s="36" t="s">
        <v>15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4" x14ac:dyDescent="0.2">
      <c r="B14" s="15"/>
      <c r="E14" s="24" t="s">
        <v>18</v>
      </c>
      <c r="F14" s="20">
        <v>0.7</v>
      </c>
      <c r="G14" s="20">
        <v>0.3</v>
      </c>
      <c r="H14" s="2"/>
      <c r="I14" s="20">
        <v>0.8</v>
      </c>
      <c r="J14" s="20">
        <v>0.2</v>
      </c>
      <c r="K14" s="2"/>
      <c r="L14" s="33"/>
      <c r="M14" s="34"/>
      <c r="O14" s="33"/>
      <c r="P14" s="34"/>
    </row>
    <row r="15" spans="1:24" s="13" customFormat="1" ht="25.5" customHeight="1" x14ac:dyDescent="0.2">
      <c r="B15" s="16"/>
      <c r="C15" s="37" t="s">
        <v>10</v>
      </c>
      <c r="D15" s="37"/>
      <c r="F15" s="38" t="s">
        <v>19</v>
      </c>
      <c r="G15" s="39"/>
      <c r="H15" s="14"/>
      <c r="I15" s="40" t="s">
        <v>20</v>
      </c>
      <c r="J15" s="41"/>
      <c r="K15" s="14"/>
      <c r="L15" s="38" t="s">
        <v>21</v>
      </c>
      <c r="M15" s="39"/>
      <c r="O15" s="38" t="s">
        <v>11</v>
      </c>
      <c r="P15" s="39"/>
      <c r="S15" s="22"/>
      <c r="T15" s="22"/>
      <c r="U15" s="22"/>
      <c r="V15" s="22"/>
      <c r="W15" s="22"/>
      <c r="X15" s="22"/>
    </row>
    <row r="16" spans="1:24" x14ac:dyDescent="0.2">
      <c r="B16" s="5" t="s">
        <v>9</v>
      </c>
      <c r="C16" s="18" t="s">
        <v>13</v>
      </c>
      <c r="D16" s="18" t="s">
        <v>14</v>
      </c>
      <c r="E16" s="12"/>
      <c r="F16" s="27" t="s">
        <v>13</v>
      </c>
      <c r="G16" s="28" t="s">
        <v>14</v>
      </c>
      <c r="H16" s="12"/>
      <c r="I16" s="27" t="s">
        <v>13</v>
      </c>
      <c r="J16" s="28" t="s">
        <v>14</v>
      </c>
      <c r="K16" s="12"/>
      <c r="L16" s="27" t="s">
        <v>13</v>
      </c>
      <c r="M16" s="28" t="s">
        <v>14</v>
      </c>
      <c r="N16" s="12"/>
      <c r="O16" s="27" t="s">
        <v>13</v>
      </c>
      <c r="P16" s="28" t="s">
        <v>14</v>
      </c>
    </row>
    <row r="17" spans="2:23" x14ac:dyDescent="0.2">
      <c r="B17" s="19" t="s">
        <v>12</v>
      </c>
      <c r="C17" s="2">
        <f>E5*0.8+551991</f>
        <v>1472444.2560000001</v>
      </c>
      <c r="D17" s="2">
        <f>F5-C17</f>
        <v>1371852.9040000001</v>
      </c>
      <c r="E17" s="4"/>
      <c r="F17" s="29">
        <f>$F$14*F5</f>
        <v>1991008.0119999999</v>
      </c>
      <c r="G17" s="30">
        <f>$G$14*F5</f>
        <v>853289.14800000004</v>
      </c>
      <c r="H17" s="2"/>
      <c r="I17" s="29">
        <f>$I$14*(C5+E5)</f>
        <v>1426520.2640000002</v>
      </c>
      <c r="J17" s="30">
        <f>($J$14*(C5+E5))+D5</f>
        <v>1417776.8960000004</v>
      </c>
      <c r="K17" s="2"/>
      <c r="L17" s="29">
        <f>E5</f>
        <v>1150566.57</v>
      </c>
      <c r="M17" s="30">
        <f>C5+D5</f>
        <v>1693730.5900000003</v>
      </c>
      <c r="N17" s="2"/>
      <c r="O17" s="29">
        <f t="shared" ref="O17:O22" si="2">F5</f>
        <v>2844297.16</v>
      </c>
      <c r="P17" s="30"/>
    </row>
    <row r="18" spans="2:23" x14ac:dyDescent="0.2">
      <c r="B18" s="19" t="s">
        <v>3</v>
      </c>
      <c r="C18" s="2">
        <f>E6*0.8+137480</f>
        <v>324400.10399999999</v>
      </c>
      <c r="D18" s="2">
        <f>F6-C18</f>
        <v>1332933.2859999996</v>
      </c>
      <c r="E18" s="4"/>
      <c r="F18" s="29">
        <f>$F$14*F6</f>
        <v>1160133.3729999997</v>
      </c>
      <c r="G18" s="30">
        <f>$G$14*F6</f>
        <v>497200.01699999988</v>
      </c>
      <c r="H18" s="2"/>
      <c r="I18" s="29">
        <f>$I$14*(C6+E6)</f>
        <v>751362.05599999987</v>
      </c>
      <c r="J18" s="30">
        <f t="shared" ref="J18:J21" si="3">($J$14*(C6+E6))+D6</f>
        <v>905971.33400000003</v>
      </c>
      <c r="K18" s="2"/>
      <c r="L18" s="29">
        <f>E6</f>
        <v>233650.12999999998</v>
      </c>
      <c r="M18" s="30">
        <f>C6+D6</f>
        <v>1423683.2599999998</v>
      </c>
      <c r="N18" s="2"/>
      <c r="O18" s="29">
        <f t="shared" si="2"/>
        <v>1657333.3899999997</v>
      </c>
      <c r="P18" s="30"/>
    </row>
    <row r="19" spans="2:23" x14ac:dyDescent="0.2">
      <c r="B19" s="19" t="s">
        <v>4</v>
      </c>
      <c r="C19" s="2">
        <f>E7*0.8+15213</f>
        <v>61634.160000000011</v>
      </c>
      <c r="D19" s="2">
        <f>F7-C19</f>
        <v>219974.54</v>
      </c>
      <c r="E19" s="4"/>
      <c r="F19" s="29">
        <f>$F$14*F7</f>
        <v>197126.09</v>
      </c>
      <c r="G19" s="30">
        <f>$G$14*F7</f>
        <v>84482.61</v>
      </c>
      <c r="H19" s="2"/>
      <c r="I19" s="29">
        <f>$I$14*(C7+E7)</f>
        <v>162206.96000000002</v>
      </c>
      <c r="J19" s="30">
        <f t="shared" si="3"/>
        <v>119401.74</v>
      </c>
      <c r="K19" s="2"/>
      <c r="L19" s="29">
        <f>E7</f>
        <v>58026.450000000012</v>
      </c>
      <c r="M19" s="30">
        <f>C7+D7</f>
        <v>223582.25</v>
      </c>
      <c r="N19" s="2"/>
      <c r="O19" s="29">
        <f t="shared" si="2"/>
        <v>281608.7</v>
      </c>
      <c r="P19" s="30"/>
    </row>
    <row r="20" spans="2:23" x14ac:dyDescent="0.2">
      <c r="B20" s="19" t="s">
        <v>5</v>
      </c>
      <c r="C20" s="2">
        <f>E8*0.8+73388</f>
        <v>151675.728</v>
      </c>
      <c r="D20" s="2">
        <f>F8-C20</f>
        <v>159273.592</v>
      </c>
      <c r="E20" s="4"/>
      <c r="F20" s="29">
        <f>$F$14*F8</f>
        <v>217664.524</v>
      </c>
      <c r="G20" s="30">
        <f>$G$14*F8</f>
        <v>93284.796000000002</v>
      </c>
      <c r="H20" s="2"/>
      <c r="I20" s="29">
        <f>$I$14*(C8+E8)</f>
        <v>141951.68800000002</v>
      </c>
      <c r="J20" s="30">
        <f t="shared" si="3"/>
        <v>168997.63199999998</v>
      </c>
      <c r="K20" s="2"/>
      <c r="L20" s="29">
        <f>E8</f>
        <v>97859.66</v>
      </c>
      <c r="M20" s="30">
        <f>C8+D8</f>
        <v>213089.66</v>
      </c>
      <c r="N20" s="2"/>
      <c r="O20" s="29">
        <f t="shared" si="2"/>
        <v>310949.32</v>
      </c>
      <c r="P20" s="30"/>
    </row>
    <row r="21" spans="2:23" x14ac:dyDescent="0.2">
      <c r="B21" s="19" t="s">
        <v>6</v>
      </c>
      <c r="C21" s="2">
        <f>E9*0.8+25473</f>
        <v>109708.33600000005</v>
      </c>
      <c r="D21" s="2">
        <f>F9-C21</f>
        <v>261768.06399999995</v>
      </c>
      <c r="E21" s="4"/>
      <c r="F21" s="29">
        <f>$F$14*F9</f>
        <v>260033.48</v>
      </c>
      <c r="G21" s="30">
        <f>$G$14*F9</f>
        <v>111442.92</v>
      </c>
      <c r="H21" s="2"/>
      <c r="I21" s="29">
        <f>$I$14*(C9+E9)</f>
        <v>230219.19200000004</v>
      </c>
      <c r="J21" s="30">
        <f t="shared" si="3"/>
        <v>141257.20800000001</v>
      </c>
      <c r="K21" s="2"/>
      <c r="L21" s="29">
        <f>E9</f>
        <v>105294.17000000006</v>
      </c>
      <c r="M21" s="30">
        <f>C9+D9</f>
        <v>266182.23</v>
      </c>
      <c r="N21" s="2"/>
      <c r="O21" s="29">
        <f t="shared" si="2"/>
        <v>371476.4</v>
      </c>
      <c r="P21" s="30"/>
    </row>
    <row r="22" spans="2:23" x14ac:dyDescent="0.2">
      <c r="B22" s="19" t="s">
        <v>7</v>
      </c>
      <c r="C22" s="2"/>
      <c r="D22" s="2">
        <f>E10</f>
        <v>239001</v>
      </c>
      <c r="E22" s="2"/>
      <c r="F22" s="31"/>
      <c r="G22" s="32">
        <f>E10</f>
        <v>239001</v>
      </c>
      <c r="H22" s="2"/>
      <c r="I22" s="31"/>
      <c r="J22" s="32">
        <f>E10</f>
        <v>239001</v>
      </c>
      <c r="K22" s="2"/>
      <c r="L22" s="31"/>
      <c r="M22" s="32">
        <f>E10</f>
        <v>239001</v>
      </c>
      <c r="N22" s="2"/>
      <c r="O22" s="31">
        <f t="shared" si="2"/>
        <v>239001</v>
      </c>
      <c r="P22" s="32">
        <f>2000000</f>
        <v>2000000</v>
      </c>
      <c r="Q22" s="1" t="s">
        <v>16</v>
      </c>
    </row>
    <row r="23" spans="2:23" ht="13.5" thickBot="1" x14ac:dyDescent="0.25">
      <c r="B23" s="19" t="s">
        <v>8</v>
      </c>
      <c r="C23" s="17">
        <f>SUM(C17:C21)</f>
        <v>2119862.5840000003</v>
      </c>
      <c r="D23" s="17">
        <f>SUM(D17:D22)</f>
        <v>3584803.3859999995</v>
      </c>
      <c r="E23" s="2"/>
      <c r="F23" s="17">
        <f>SUM(F17:F21)</f>
        <v>3825965.4789999998</v>
      </c>
      <c r="G23" s="17">
        <f>SUM(G17:G22)</f>
        <v>1878700.4910000002</v>
      </c>
      <c r="H23" s="2"/>
      <c r="I23" s="17">
        <f>SUM(I17:I21)</f>
        <v>2712260.16</v>
      </c>
      <c r="J23" s="17">
        <f>SUM(J17:J22)</f>
        <v>2992405.810000001</v>
      </c>
      <c r="K23" s="2"/>
      <c r="L23" s="17">
        <f>SUM(L17:L21)</f>
        <v>1645396.98</v>
      </c>
      <c r="M23" s="17">
        <f>SUM(M17:M22)</f>
        <v>4059268.99</v>
      </c>
      <c r="N23" s="2"/>
      <c r="O23" s="17">
        <f>SUM(O17:O22)</f>
        <v>5704665.9700000007</v>
      </c>
      <c r="P23" s="17">
        <f>SUM(P17:P22)</f>
        <v>2000000</v>
      </c>
    </row>
    <row r="24" spans="2:23" x14ac:dyDescent="0.2">
      <c r="D24" s="3">
        <f>D23+C23-F11</f>
        <v>0</v>
      </c>
      <c r="G24" s="3">
        <f>G23+F23-$F$11</f>
        <v>0</v>
      </c>
      <c r="J24" s="3">
        <f>J23+I23-$F$11</f>
        <v>0</v>
      </c>
      <c r="M24" s="3">
        <f>M23+L23-$F$11</f>
        <v>0</v>
      </c>
      <c r="O24" s="3"/>
    </row>
    <row r="25" spans="2:23" x14ac:dyDescent="0.2">
      <c r="B25" s="24" t="s">
        <v>17</v>
      </c>
      <c r="C25" s="25">
        <f>C23/$F$11</f>
        <v>0.37160152674110031</v>
      </c>
      <c r="D25" s="25">
        <f>D23/$F$11</f>
        <v>0.62839847325889953</v>
      </c>
      <c r="E25" s="23"/>
      <c r="F25" s="25">
        <f t="shared" ref="F25:G25" si="4">F23/$F$11</f>
        <v>0.67067300681936326</v>
      </c>
      <c r="G25" s="25">
        <f t="shared" si="4"/>
        <v>0.32932699318063663</v>
      </c>
      <c r="H25" s="23"/>
      <c r="I25" s="25">
        <f>I23/$F$11</f>
        <v>0.47544591992999718</v>
      </c>
      <c r="J25" s="25">
        <f>J23/$F$11</f>
        <v>0.52455408007000293</v>
      </c>
      <c r="K25" s="23"/>
      <c r="L25" s="25">
        <f t="shared" ref="L25:M25" si="5">L23/$F$11</f>
        <v>0.28843003054918565</v>
      </c>
      <c r="M25" s="25">
        <f t="shared" si="5"/>
        <v>0.7115699694508143</v>
      </c>
      <c r="O25" s="21" t="s">
        <v>23</v>
      </c>
    </row>
    <row r="28" spans="2:23" x14ac:dyDescent="0.2">
      <c r="E28" s="9"/>
    </row>
    <row r="29" spans="2:23" x14ac:dyDescent="0.2">
      <c r="E29" s="3"/>
    </row>
    <row r="30" spans="2:23" x14ac:dyDescent="0.2">
      <c r="S30" s="1"/>
      <c r="T30" s="1"/>
      <c r="U30" s="1"/>
      <c r="V30" s="1"/>
      <c r="W30" s="1"/>
    </row>
    <row r="32" spans="2:23" x14ac:dyDescent="0.2">
      <c r="Q32" s="9"/>
    </row>
    <row r="33" spans="17:17" x14ac:dyDescent="0.2">
      <c r="Q33" s="9"/>
    </row>
  </sheetData>
  <mergeCells count="7">
    <mergeCell ref="B3:F3"/>
    <mergeCell ref="F13:P13"/>
    <mergeCell ref="C15:D15"/>
    <mergeCell ref="F15:G15"/>
    <mergeCell ref="I15:J15"/>
    <mergeCell ref="L15:M15"/>
    <mergeCell ref="O15:P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pmo6</dc:creator>
  <cp:lastModifiedBy>pmo6</cp:lastModifiedBy>
  <dcterms:created xsi:type="dcterms:W3CDTF">2021-11-12T18:50:19Z</dcterms:created>
  <dcterms:modified xsi:type="dcterms:W3CDTF">2021-11-12T22:49:09Z</dcterms:modified>
</cp:coreProperties>
</file>